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0540" windowHeight="13280" activeTab="0"/>
  </bookViews>
  <sheets>
    <sheet name="Stationär fuktfördelning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<sst xmlns="http://schemas.openxmlformats.org/spreadsheetml/2006/main" count="55" uniqueCount="51">
  <si>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r>
      <t xml:space="preserve">Bara </t>
    </r>
    <r>
      <rPr>
        <b/>
        <sz val="14"/>
        <color indexed="48"/>
        <rFont val="Arial"/>
        <family val="0"/>
      </rPr>
      <t>blå</t>
    </r>
    <r>
      <rPr>
        <b/>
        <sz val="14"/>
        <color indexed="10"/>
        <rFont val="Arial"/>
        <family val="0"/>
      </rPr>
      <t xml:space="preserve"> celler får ändras!</t>
    </r>
  </si>
  <si>
    <t>Ånghalterna och RF stämmer inte!</t>
  </si>
  <si>
    <t>S</t>
  </si>
  <si>
    <t>Temp</t>
  </si>
  <si>
    <t>Rsi</t>
  </si>
  <si>
    <r>
      <t>V</t>
    </r>
    <r>
      <rPr>
        <b/>
        <vertAlign val="subscript"/>
        <sz val="10"/>
        <rFont val="Arial"/>
        <family val="2"/>
      </rPr>
      <t>tillskott</t>
    </r>
  </si>
  <si>
    <t>Glaserberäkning</t>
  </si>
  <si>
    <t>Månad:</t>
  </si>
  <si>
    <t>Ort:</t>
  </si>
  <si>
    <t>RF (%)</t>
  </si>
  <si>
    <r>
      <t>V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</si>
  <si>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RF
[%]</t>
  </si>
  <si>
    <t>d
[mm]</t>
  </si>
  <si>
    <r>
      <t>l
[</t>
    </r>
    <r>
      <rPr>
        <b/>
        <sz val="12"/>
        <rFont val="Arial"/>
        <family val="2"/>
      </rPr>
      <t xml:space="preserve">W/m°C] </t>
    </r>
  </si>
  <si>
    <r>
      <t>D</t>
    </r>
    <r>
      <rPr>
        <b/>
        <sz val="12"/>
        <rFont val="Arial"/>
        <family val="2"/>
      </rPr>
      <t>T
[°C]</t>
    </r>
  </si>
  <si>
    <t xml:space="preserve"> T
[°C]</t>
  </si>
  <si>
    <r>
      <t>R=d/</t>
    </r>
    <r>
      <rPr>
        <b/>
        <sz val="12"/>
        <rFont val="Symbol"/>
        <family val="1"/>
      </rPr>
      <t>l
[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°C/W</t>
    </r>
    <r>
      <rPr>
        <b/>
        <sz val="12"/>
        <rFont val="Symbol"/>
        <family val="1"/>
      </rPr>
      <t>]</t>
    </r>
  </si>
  <si>
    <r>
      <t>d</t>
    </r>
    <r>
      <rPr>
        <b/>
        <vertAlign val="subscript"/>
        <sz val="12"/>
        <rFont val="Arial"/>
        <family val="2"/>
      </rPr>
      <t xml:space="preserve">v </t>
    </r>
    <r>
      <rPr>
        <b/>
        <sz val="12"/>
        <rFont val="Arial"/>
        <family val="2"/>
      </rPr>
      <t>x 10</t>
    </r>
    <r>
      <rPr>
        <b/>
        <vertAlign val="superscript"/>
        <sz val="12"/>
        <rFont val="Arial"/>
        <family val="2"/>
      </rPr>
      <t>-6</t>
    </r>
    <r>
      <rPr>
        <b/>
        <sz val="12"/>
        <rFont val="Symbol"/>
        <family val="1"/>
      </rPr>
      <t xml:space="preserve">
[</t>
    </r>
    <r>
      <rPr>
        <b/>
        <sz val="12"/>
        <rFont val="Arial"/>
        <family val="2"/>
      </rPr>
      <t>m²/s]</t>
    </r>
  </si>
  <si>
    <r>
      <t>Z</t>
    </r>
    <r>
      <rPr>
        <b/>
        <vertAlign val="subscript"/>
        <sz val="12"/>
        <rFont val="Arial"/>
        <family val="2"/>
      </rPr>
      <t xml:space="preserve">v </t>
    </r>
    <r>
      <rPr>
        <b/>
        <sz val="12"/>
        <rFont val="Arial"/>
        <family val="2"/>
      </rPr>
      <t>x 10</t>
    </r>
    <r>
      <rPr>
        <b/>
        <vertAlign val="superscript"/>
        <sz val="12"/>
        <rFont val="Arial"/>
        <family val="2"/>
      </rPr>
      <t>3</t>
    </r>
    <r>
      <rPr>
        <b/>
        <sz val="12"/>
        <rFont val="Symbol"/>
        <family val="1"/>
      </rPr>
      <t xml:space="preserve">
[</t>
    </r>
    <r>
      <rPr>
        <b/>
        <sz val="12"/>
        <rFont val="Arial"/>
        <family val="2"/>
      </rPr>
      <t>s/m]</t>
    </r>
  </si>
  <si>
    <t>Rsu</t>
  </si>
  <si>
    <t>tegel</t>
  </si>
  <si>
    <t>lösull</t>
  </si>
  <si>
    <t>Färg</t>
  </si>
  <si>
    <t>x</t>
  </si>
  <si>
    <t>T</t>
  </si>
  <si>
    <t>v</t>
  </si>
  <si>
    <t>RF</t>
  </si>
  <si>
    <r>
      <t>Korrigerade för kondens (dvs v=v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där kondens)</t>
    </r>
  </si>
  <si>
    <r>
      <t xml:space="preserve">Materialskikt </t>
    </r>
    <r>
      <rPr>
        <sz val="9"/>
        <rFont val="Arial"/>
        <family val="2"/>
      </rPr>
      <t>Peter Bs verktyg</t>
    </r>
  </si>
  <si>
    <r>
      <t>v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
[g/m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]</t>
    </r>
  </si>
  <si>
    <r>
      <t>D</t>
    </r>
    <r>
      <rPr>
        <b/>
        <sz val="12"/>
        <rFont val="Arial"/>
        <family val="2"/>
      </rPr>
      <t>v
[g/m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]</t>
    </r>
  </si>
  <si>
    <r>
      <t>v 
[g/m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]</t>
    </r>
  </si>
  <si>
    <t>Anm.</t>
  </si>
  <si>
    <t>Vertikala linjer:</t>
  </si>
  <si>
    <t>Ute</t>
  </si>
  <si>
    <t>Inne</t>
  </si>
  <si>
    <t>Om Kondens:</t>
  </si>
  <si>
    <t>Konstruktion:</t>
  </si>
  <si>
    <t>T &lt; 0°C</t>
  </si>
  <si>
    <t>T &gt; 0°C</t>
  </si>
  <si>
    <t>a=</t>
  </si>
  <si>
    <t>b=</t>
  </si>
  <si>
    <t>UTE</t>
  </si>
  <si>
    <t>INNE</t>
  </si>
  <si>
    <t>I ej använda skikt</t>
  </si>
  <si>
    <t>sätts tjockleken</t>
  </si>
  <si>
    <t>till noll!</t>
  </si>
  <si>
    <t>Baserat på ett Excel-verktyg från Peter Brander/2011-10-10_L-O Nilsson</t>
  </si>
  <si>
    <t>betong</t>
  </si>
  <si>
    <t>moistenginst ab</t>
  </si>
  <si>
    <t>www.moistenginst.se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</si>
</sst>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0E+00"/>
    <numFmt numFmtId="180" formatCode="0.00E+00;\ĝ"/>
    <numFmt numFmtId="181" formatCode="0.00E+00;\Ⱄ"/>
    <numFmt numFmtId="182" formatCode="0.0E+00;\Ⱄ"/>
    <numFmt numFmtId="183" formatCode="0E+00;\Ⱄ"/>
    <numFmt numFmtId="184" formatCode="0.00000000"/>
  </numFmts>
  <fonts count="59">
    <font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4"/>
      <color indexed="10"/>
      <name val="Arial"/>
      <family val="0"/>
    </font>
    <font>
      <sz val="12"/>
      <color indexed="8"/>
      <name val="Arial"/>
      <family val="0"/>
    </font>
    <font>
      <b/>
      <sz val="14"/>
      <color indexed="4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4"/>
      <color indexed="39"/>
      <name val="Arial"/>
      <family val="0"/>
    </font>
    <font>
      <sz val="12"/>
      <name val="Calibri"/>
      <family val="0"/>
    </font>
    <font>
      <vertAlign val="superscript"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i/>
      <sz val="14"/>
      <color rgb="FF0000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textRotation="90"/>
      <protection/>
    </xf>
    <xf numFmtId="177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/>
      <protection/>
    </xf>
    <xf numFmtId="177" fontId="0" fillId="34" borderId="10" xfId="0" applyNumberFormat="1" applyFill="1" applyBorder="1" applyAlignment="1" applyProtection="1">
      <alignment horizontal="center"/>
      <protection/>
    </xf>
    <xf numFmtId="11" fontId="0" fillId="34" borderId="10" xfId="0" applyNumberForma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/>
      <protection locked="0"/>
    </xf>
    <xf numFmtId="1" fontId="2" fillId="36" borderId="10" xfId="0" applyNumberFormat="1" applyFont="1" applyFill="1" applyBorder="1" applyAlignment="1" applyProtection="1">
      <alignment horizontal="center"/>
      <protection/>
    </xf>
    <xf numFmtId="177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14" fillId="36" borderId="10" xfId="0" applyNumberFormat="1" applyFont="1" applyFill="1" applyBorder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1" fontId="15" fillId="0" borderId="12" xfId="0" applyNumberFormat="1" applyFont="1" applyFill="1" applyBorder="1" applyAlignment="1" applyProtection="1">
      <alignment horizontal="center"/>
      <protection/>
    </xf>
    <xf numFmtId="1" fontId="16" fillId="0" borderId="12" xfId="0" applyNumberFormat="1" applyFont="1" applyFill="1" applyBorder="1" applyAlignment="1" applyProtection="1">
      <alignment horizontal="center"/>
      <protection/>
    </xf>
    <xf numFmtId="1" fontId="17" fillId="0" borderId="12" xfId="0" applyNumberFormat="1" applyFont="1" applyFill="1" applyBorder="1" applyAlignment="1" applyProtection="1">
      <alignment horizontal="center"/>
      <protection/>
    </xf>
    <xf numFmtId="2" fontId="16" fillId="0" borderId="12" xfId="0" applyNumberFormat="1" applyFont="1" applyFill="1" applyBorder="1" applyAlignment="1" applyProtection="1">
      <alignment horizontal="center"/>
      <protection/>
    </xf>
    <xf numFmtId="1" fontId="15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10" fillId="0" borderId="0" xfId="45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425"/>
          <c:w val="0.94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'Stationär fuktfördelning'!$R$36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'Stationär fuktfördelning'!$Q$37:$Q$49</c:f>
              <c:numCache/>
            </c:numRef>
          </c:xVal>
          <c:yVal>
            <c:numRef>
              <c:f>'Stationär fuktfördelning'!$R$37:$R$49</c:f>
              <c:numCache/>
            </c:numRef>
          </c:yVal>
          <c:smooth val="0"/>
        </c:ser>
        <c:ser>
          <c:idx val="1"/>
          <c:order val="1"/>
          <c:tx>
            <c:strRef>
              <c:f>'Stationär fuktfördelning'!$S$36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'Stationär fuktfördelning'!$Q$37:$Q$49</c:f>
              <c:numCache/>
            </c:numRef>
          </c:xVal>
          <c:yVal>
            <c:numRef>
              <c:f>'Stationär fuktfördelning'!$S$37:$S$49</c:f>
              <c:numCache/>
            </c:numRef>
          </c:yVal>
          <c:smooth val="0"/>
        </c:ser>
        <c:ser>
          <c:idx val="2"/>
          <c:order val="2"/>
          <c:tx>
            <c:strRef>
              <c:f>'Stationär fuktfördelning'!$T$36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'Stationär fuktfördelning'!$Q$37:$Q$49</c:f>
              <c:numCache/>
            </c:numRef>
          </c:xVal>
          <c:yVal>
            <c:numRef>
              <c:f>'Stationär fuktfördelning'!$T$37:$T$49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fuktfördelning'!$V$37:$W$37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fuktfördelning'!$V$39:$W$39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fuktfördelning'!$V$40:$W$40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fuktfördelning'!$V$41:$W$41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fuktfördelning'!$V$42:$W$42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(mm), fr?n utsida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At val="-20"/>
        <c:crossBetween val="midCat"/>
        <c:dispUnits/>
      </c:valAx>
      <c:valAx>
        <c:axId val="34176153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T, v, RF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8375"/>
          <c:w val="0.09875"/>
          <c:h val="0.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875"/>
          <c:w val="0.92525"/>
          <c:h val="0.89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'Stationär fuktfördelning'!$S$36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'Stationär fuktfördelning'!$Q$37:$Q$49</c:f>
              <c:numCache/>
            </c:numRef>
          </c:xVal>
          <c:yVal>
            <c:numRef>
              <c:f>'Stationär fuktfördelning'!$S$37:$S$49</c:f>
              <c:numCache/>
            </c:numRef>
          </c:yVal>
          <c:smooth val="0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fuktfördelning'!$V$37:$W$37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fuktfördelning'!$V$39:$W$39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fuktfördelning'!$V$40:$W$40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6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fuktfördelning'!$V$41:$W$41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ser>
          <c:idx val="7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'Stationär fuktfördelning'!$V$42:$W$42</c:f>
              <c:numCache/>
            </c:numRef>
          </c:xVal>
          <c:yVal>
            <c:numRef>
              <c:f>'Stationär fuktfördelning'!$V$38:$W$38</c:f>
              <c:numCache/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  <c:max val="6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(mm), fr?n utsida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At val="-20"/>
        <c:crossBetween val="midCat"/>
        <c:dispUnits/>
      </c:valAx>
      <c:valAx>
        <c:axId val="168049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?nghalt v [g/m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17025"/>
          <c:w val="0.080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7</xdr:col>
      <xdr:colOff>342900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5133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33</xdr:row>
      <xdr:rowOff>0</xdr:rowOff>
    </xdr:from>
    <xdr:to>
      <xdr:col>15</xdr:col>
      <xdr:colOff>457200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5362575" y="5981700"/>
        <a:ext cx="5172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stenginst.s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P5" sqref="P5"/>
    </sheetView>
  </sheetViews>
  <sheetFormatPr defaultColWidth="9.140625" defaultRowHeight="12.75"/>
  <cols>
    <col min="1" max="1" width="13.8515625" style="2" customWidth="1"/>
    <col min="2" max="2" width="16.00390625" style="2" bestFit="1" customWidth="1"/>
    <col min="3" max="3" width="7.28125" style="2" customWidth="1"/>
    <col min="4" max="4" width="10.140625" style="2" bestFit="1" customWidth="1"/>
    <col min="5" max="5" width="11.7109375" style="2" customWidth="1"/>
    <col min="6" max="7" width="6.421875" style="2" customWidth="1"/>
    <col min="8" max="8" width="11.7109375" style="2" bestFit="1" customWidth="1"/>
    <col min="9" max="9" width="10.00390625" style="2" bestFit="1" customWidth="1"/>
    <col min="10" max="10" width="9.7109375" style="2" bestFit="1" customWidth="1"/>
    <col min="11" max="11" width="10.28125" style="2" bestFit="1" customWidth="1"/>
    <col min="12" max="13" width="9.140625" style="2" customWidth="1"/>
    <col min="14" max="14" width="10.140625" style="2" customWidth="1"/>
    <col min="15" max="16384" width="9.140625" style="2" customWidth="1"/>
  </cols>
  <sheetData>
    <row r="1" spans="1:19" ht="16.5">
      <c r="A1" s="1" t="s">
        <v>6</v>
      </c>
      <c r="C1" s="2" t="s">
        <v>47</v>
      </c>
      <c r="J1" s="4"/>
      <c r="K1" s="5" t="s">
        <v>3</v>
      </c>
      <c r="L1" s="5" t="s">
        <v>9</v>
      </c>
      <c r="M1" s="5"/>
      <c r="N1" s="5" t="s">
        <v>10</v>
      </c>
      <c r="Q1" s="49"/>
      <c r="R1" s="49" t="s">
        <v>38</v>
      </c>
      <c r="S1" s="50" t="s">
        <v>39</v>
      </c>
    </row>
    <row r="2" spans="1:19" ht="16.5">
      <c r="A2" s="3" t="s">
        <v>37</v>
      </c>
      <c r="B2" s="47"/>
      <c r="C2" s="58" t="s">
        <v>49</v>
      </c>
      <c r="F2" s="59" t="s">
        <v>50</v>
      </c>
      <c r="J2" s="6" t="s">
        <v>34</v>
      </c>
      <c r="K2" s="28">
        <v>-8.6</v>
      </c>
      <c r="L2" s="28">
        <v>98</v>
      </c>
      <c r="M2" s="28"/>
      <c r="N2" s="16">
        <f>1320*(1+0.02*K2)^4/(K2+273)*L2/100</f>
        <v>2.2996402597505363</v>
      </c>
      <c r="Q2" s="51" t="s">
        <v>40</v>
      </c>
      <c r="R2" s="52">
        <v>23.077</v>
      </c>
      <c r="S2" s="53">
        <v>20.11</v>
      </c>
    </row>
    <row r="3" spans="1:19" ht="18" thickBot="1">
      <c r="A3" s="3" t="s">
        <v>8</v>
      </c>
      <c r="B3" s="47"/>
      <c r="D3" s="39"/>
      <c r="E3" s="57" t="s">
        <v>0</v>
      </c>
      <c r="J3" s="6" t="s">
        <v>5</v>
      </c>
      <c r="K3" s="7"/>
      <c r="L3" s="7"/>
      <c r="M3" s="4"/>
      <c r="N3" s="31">
        <f>N4-N2</f>
        <v>3.5846944842767647</v>
      </c>
      <c r="Q3" s="54" t="s">
        <v>41</v>
      </c>
      <c r="R3" s="55">
        <v>5872</v>
      </c>
      <c r="S3" s="56">
        <v>5061</v>
      </c>
    </row>
    <row r="4" spans="1:14" ht="15">
      <c r="A4" s="3" t="s">
        <v>7</v>
      </c>
      <c r="B4" s="47"/>
      <c r="J4" s="6" t="s">
        <v>35</v>
      </c>
      <c r="K4" s="28">
        <v>20</v>
      </c>
      <c r="L4" s="28">
        <v>34</v>
      </c>
      <c r="M4" s="28"/>
      <c r="N4" s="16">
        <f>1320*(1+0.02*K4)^4/(K4+273)*L4/100</f>
        <v>5.884334744027301</v>
      </c>
    </row>
    <row r="6" spans="2:14" ht="31.5">
      <c r="B6" s="8" t="s">
        <v>28</v>
      </c>
      <c r="C6" s="9" t="s">
        <v>12</v>
      </c>
      <c r="D6" s="10" t="s">
        <v>13</v>
      </c>
      <c r="E6" s="9" t="s">
        <v>16</v>
      </c>
      <c r="F6" s="10" t="s">
        <v>14</v>
      </c>
      <c r="G6" s="9" t="s">
        <v>15</v>
      </c>
      <c r="H6" s="9" t="s">
        <v>29</v>
      </c>
      <c r="I6" s="10" t="s">
        <v>17</v>
      </c>
      <c r="J6" s="9" t="s">
        <v>18</v>
      </c>
      <c r="K6" s="10" t="s">
        <v>30</v>
      </c>
      <c r="L6" s="9" t="s">
        <v>31</v>
      </c>
      <c r="M6" s="9" t="s">
        <v>11</v>
      </c>
      <c r="N6" s="40" t="s">
        <v>32</v>
      </c>
    </row>
    <row r="7" spans="2:14" ht="15">
      <c r="B7" s="20" t="s">
        <v>42</v>
      </c>
      <c r="C7" s="20"/>
      <c r="D7" s="20"/>
      <c r="E7" s="20"/>
      <c r="F7" s="20"/>
      <c r="G7" s="15">
        <f>$K$2</f>
        <v>-8.6</v>
      </c>
      <c r="H7" s="16">
        <f>EXP(IF(G7&gt;0,S$2,R$2)-IF(G7&gt;0,S$3,R$3)/(273.16+G7))</f>
        <v>2.4148973683652923</v>
      </c>
      <c r="I7" s="21"/>
      <c r="J7" s="21"/>
      <c r="K7" s="21"/>
      <c r="L7" s="16">
        <f>$N$2</f>
        <v>2.2996402597505363</v>
      </c>
      <c r="M7" s="30">
        <f>$L$2</f>
        <v>98</v>
      </c>
      <c r="N7" s="41"/>
    </row>
    <row r="8" spans="2:14" ht="12">
      <c r="B8" s="19" t="s">
        <v>19</v>
      </c>
      <c r="C8" s="21"/>
      <c r="D8" s="21"/>
      <c r="E8" s="17">
        <v>0.04</v>
      </c>
      <c r="F8" s="15">
        <f>E8/$E$32*($G$31-$G$7)</f>
        <v>0.3296829971181556</v>
      </c>
      <c r="G8" s="23"/>
      <c r="H8" s="21"/>
      <c r="I8" s="21"/>
      <c r="J8" s="48">
        <v>0.06</v>
      </c>
      <c r="K8" s="16">
        <f>(J8/$J$32)*($L$31-$L$7)</f>
        <v>0.0017136651139982246</v>
      </c>
      <c r="L8" s="25"/>
      <c r="M8" s="25"/>
      <c r="N8" s="42"/>
    </row>
    <row r="9" spans="2:14" ht="15">
      <c r="B9" s="22"/>
      <c r="C9" s="21"/>
      <c r="D9" s="21"/>
      <c r="E9" s="21"/>
      <c r="F9" s="23"/>
      <c r="G9" s="15">
        <f>G7+F8</f>
        <v>-8.270317002881844</v>
      </c>
      <c r="H9" s="16">
        <f>EXP(IF(G9&gt;0,S$2,R$2)-IF(G9&gt;0,S$3,R$3)/(273.16+G9))</f>
        <v>2.482537497417813</v>
      </c>
      <c r="I9" s="24"/>
      <c r="J9" s="21"/>
      <c r="K9" s="25"/>
      <c r="L9" s="16">
        <f>$N$2</f>
        <v>2.2996402597505363</v>
      </c>
      <c r="M9" s="30">
        <f>(L9/H9)*100</f>
        <v>92.63264954275553</v>
      </c>
      <c r="N9" s="41" t="str">
        <f>IF((L9/H9)*100&gt;100,"Kondens!"," ")</f>
        <v> </v>
      </c>
    </row>
    <row r="10" spans="2:14" ht="12">
      <c r="B10" s="27" t="s">
        <v>48</v>
      </c>
      <c r="C10" s="28">
        <v>120</v>
      </c>
      <c r="D10" s="28">
        <v>0.6</v>
      </c>
      <c r="E10" s="16">
        <f>IF(D10=0,0,C10/(D10*1000))</f>
        <v>0.2</v>
      </c>
      <c r="F10" s="15">
        <f>E10/$E$32*($G$31-$G$7)</f>
        <v>1.648414985590778</v>
      </c>
      <c r="G10" s="23"/>
      <c r="H10" s="21"/>
      <c r="I10" s="29">
        <v>130</v>
      </c>
      <c r="J10" s="15">
        <f>IF(I10=0,0,((C10/1000)/(I10*0.000001))/1000)</f>
        <v>0.9230769230769231</v>
      </c>
      <c r="K10" s="16">
        <f>(J10/$J$32)*($L$31-$L$7)</f>
        <v>0.026364078676895764</v>
      </c>
      <c r="L10" s="25"/>
      <c r="M10" s="26"/>
      <c r="N10" s="42"/>
    </row>
    <row r="11" spans="2:14" ht="12.75">
      <c r="B11" s="22"/>
      <c r="C11" s="21"/>
      <c r="D11" s="21"/>
      <c r="E11" s="21"/>
      <c r="F11" s="23"/>
      <c r="G11" s="15">
        <f>G9+F10</f>
        <v>-6.621902017291067</v>
      </c>
      <c r="H11" s="16">
        <f>EXP(IF(G11&gt;0,S$2,R$2)-IF(G11&gt;0,S$3,R$3)/(273.16+G11))</f>
        <v>2.8473203384558046</v>
      </c>
      <c r="I11" s="23"/>
      <c r="J11" s="21"/>
      <c r="K11" s="25"/>
      <c r="L11" s="16">
        <f>L9+K10</f>
        <v>2.326004338427432</v>
      </c>
      <c r="M11" s="37">
        <f>(L11/H11)*100</f>
        <v>81.6909958114829</v>
      </c>
      <c r="N11" s="43" t="str">
        <f>IF((L11/H11)*100&gt;100,"Kondens!"," ")</f>
        <v> </v>
      </c>
    </row>
    <row r="12" spans="2:14" ht="12">
      <c r="B12" s="27" t="s">
        <v>21</v>
      </c>
      <c r="C12" s="28">
        <v>100</v>
      </c>
      <c r="D12" s="28">
        <v>0.04</v>
      </c>
      <c r="E12" s="16">
        <f>IF(D12=0,0,C12/(D12*1000))</f>
        <v>2.5</v>
      </c>
      <c r="F12" s="15">
        <f>E12/$E$32*($G$31-$G$7)</f>
        <v>20.605187319884724</v>
      </c>
      <c r="G12" s="23"/>
      <c r="H12" s="21"/>
      <c r="I12" s="29">
        <v>24</v>
      </c>
      <c r="J12" s="15">
        <f>IF(I12=0,0,((C12/1000)/(I12*0.000001))/1000)</f>
        <v>4.166666666666667</v>
      </c>
      <c r="K12" s="16">
        <f>(J12/$J$32)*($L$31-$L$7)</f>
        <v>0.11900452180543226</v>
      </c>
      <c r="L12" s="25"/>
      <c r="M12" s="26"/>
      <c r="N12" s="42"/>
    </row>
    <row r="13" spans="2:14" ht="15">
      <c r="B13" s="22"/>
      <c r="C13" s="21"/>
      <c r="D13" s="21"/>
      <c r="E13" s="21"/>
      <c r="F13" s="23"/>
      <c r="G13" s="15">
        <f>G11+F12</f>
        <v>13.983285302593657</v>
      </c>
      <c r="H13" s="16">
        <f>EXP(IF(G13&gt;0,S$2,R$2)-IF(G13&gt;0,S$3,R$3)/(273.16+G13))</f>
        <v>11.996958350762698</v>
      </c>
      <c r="I13" s="23"/>
      <c r="J13" s="21"/>
      <c r="K13" s="25"/>
      <c r="L13" s="16">
        <f>L11+K12</f>
        <v>2.445008860232864</v>
      </c>
      <c r="M13" s="30">
        <f>(L13/H13)*100</f>
        <v>20.380239630301162</v>
      </c>
      <c r="N13" s="41" t="str">
        <f>IF((L13/H13)*100&gt;100,"Kondens!"," ")</f>
        <v> </v>
      </c>
    </row>
    <row r="14" spans="2:14" ht="12">
      <c r="B14" s="27" t="s">
        <v>20</v>
      </c>
      <c r="C14" s="28">
        <v>120</v>
      </c>
      <c r="D14" s="28">
        <v>0.6</v>
      </c>
      <c r="E14" s="16">
        <f>IF(D14=0,0,C14/(D14*1000))</f>
        <v>0.2</v>
      </c>
      <c r="F14" s="15">
        <f>E14/$E$32*($G$31-$G$7)</f>
        <v>1.648414985590778</v>
      </c>
      <c r="G14" s="23"/>
      <c r="H14" s="21"/>
      <c r="I14" s="29">
        <v>3</v>
      </c>
      <c r="J14" s="15">
        <f>IF(I14=0,0,((C14/1000)/(I14*0.000001))/1000)</f>
        <v>40</v>
      </c>
      <c r="K14" s="16">
        <f>(J14/$J$32)*($L$31-$L$7)</f>
        <v>1.1424434093321498</v>
      </c>
      <c r="L14" s="25"/>
      <c r="M14" s="26"/>
      <c r="N14" s="42"/>
    </row>
    <row r="15" spans="2:14" ht="15">
      <c r="B15" s="22"/>
      <c r="C15" s="21"/>
      <c r="D15" s="21"/>
      <c r="E15" s="21"/>
      <c r="F15" s="23"/>
      <c r="G15" s="15">
        <f>G13+F14</f>
        <v>15.631700288184435</v>
      </c>
      <c r="H15" s="16">
        <f>EXP(IF(G15&gt;0,S$2,R$2)-IF(G15&gt;0,S$3,R$3)/(273.16+G15))</f>
        <v>13.266713265031887</v>
      </c>
      <c r="I15" s="23"/>
      <c r="J15" s="21"/>
      <c r="K15" s="25"/>
      <c r="L15" s="16">
        <f>L13+K14</f>
        <v>3.5874522695650137</v>
      </c>
      <c r="M15" s="30">
        <f>(L15/H15)*100</f>
        <v>27.041002529396195</v>
      </c>
      <c r="N15" s="41" t="str">
        <f>IF((L15/H15)*100&gt;100,"Kondens!"," ")</f>
        <v> </v>
      </c>
    </row>
    <row r="16" spans="2:14" ht="12">
      <c r="B16" s="27" t="s">
        <v>20</v>
      </c>
      <c r="C16" s="28">
        <v>120</v>
      </c>
      <c r="D16" s="28">
        <v>0.6</v>
      </c>
      <c r="E16" s="16">
        <f>IF(D16=0,0,C16/(D16*1000))</f>
        <v>0.2</v>
      </c>
      <c r="F16" s="15">
        <f>E16/$E$32*($G$31-$G$7)</f>
        <v>1.648414985590778</v>
      </c>
      <c r="G16" s="23"/>
      <c r="H16" s="21"/>
      <c r="I16" s="29">
        <v>3</v>
      </c>
      <c r="J16" s="15">
        <f>IF(I16=0,0,((C16/1000)/(I16*0.000001))/1000)</f>
        <v>40</v>
      </c>
      <c r="K16" s="16">
        <f>(J16/$J$32)*($L$31-$L$7)</f>
        <v>1.1424434093321498</v>
      </c>
      <c r="L16" s="25"/>
      <c r="M16" s="26"/>
      <c r="N16" s="42"/>
    </row>
    <row r="17" spans="2:14" ht="15">
      <c r="B17" s="22"/>
      <c r="C17" s="21"/>
      <c r="D17" s="21"/>
      <c r="E17" s="21"/>
      <c r="F17" s="23"/>
      <c r="G17" s="15">
        <f>G15+F16</f>
        <v>17.280115273775213</v>
      </c>
      <c r="H17" s="16">
        <f>EXP(IF(G17&gt;0,S$2,R$2)-IF(G17&gt;0,S$3,R$3)/(273.16+G17))</f>
        <v>14.654114403261891</v>
      </c>
      <c r="I17" s="23"/>
      <c r="J17" s="21"/>
      <c r="K17" s="25"/>
      <c r="L17" s="16">
        <f>L15+K16</f>
        <v>4.729895678897163</v>
      </c>
      <c r="M17" s="30">
        <f>(L17/H17)*100</f>
        <v>32.276912467970945</v>
      </c>
      <c r="N17" s="41" t="str">
        <f>IF((L17/H17)*100&gt;100,"Kondens!"," ")</f>
        <v> </v>
      </c>
    </row>
    <row r="18" spans="2:14" ht="12">
      <c r="B18" s="27" t="s">
        <v>20</v>
      </c>
      <c r="C18" s="28">
        <v>120</v>
      </c>
      <c r="D18" s="28">
        <v>0.6</v>
      </c>
      <c r="E18" s="16">
        <f>IF(D18=0,0,C18/(D18*1000))</f>
        <v>0.2</v>
      </c>
      <c r="F18" s="15">
        <f>E18/$E$32*($G$31-$G$7)</f>
        <v>1.648414985590778</v>
      </c>
      <c r="G18" s="23"/>
      <c r="H18" s="21"/>
      <c r="I18" s="29">
        <v>3</v>
      </c>
      <c r="J18" s="15">
        <f>IF(I18=0,0,((C18/1000)/(I18*0.000001))/1000)</f>
        <v>40</v>
      </c>
      <c r="K18" s="16">
        <f>(J18/$J$32)*($L$31-$L$7)</f>
        <v>1.1424434093321498</v>
      </c>
      <c r="L18" s="25"/>
      <c r="M18" s="26"/>
      <c r="N18" s="42"/>
    </row>
    <row r="19" spans="2:14" ht="15">
      <c r="B19" s="22"/>
      <c r="C19" s="21"/>
      <c r="D19" s="21"/>
      <c r="E19" s="21"/>
      <c r="F19" s="23"/>
      <c r="G19" s="15">
        <f>G17+F18</f>
        <v>18.928530259365992</v>
      </c>
      <c r="H19" s="16">
        <f>EXP(IF(G19&gt;0,S$2,R$2)-IF(G19&gt;0,S$3,R$3)/(273.16+G19))</f>
        <v>16.16844496774006</v>
      </c>
      <c r="I19" s="23"/>
      <c r="J19" s="21"/>
      <c r="K19" s="25"/>
      <c r="L19" s="16">
        <f>L17+K18</f>
        <v>5.872339088229313</v>
      </c>
      <c r="M19" s="30">
        <f>(L19/H19)*100</f>
        <v>36.31975183727342</v>
      </c>
      <c r="N19" s="41" t="str">
        <f>IF((L19/H19)*100&gt;100,"Kondens!"," ")</f>
        <v> </v>
      </c>
    </row>
    <row r="20" spans="1:14" ht="12">
      <c r="A20" s="2" t="s">
        <v>44</v>
      </c>
      <c r="B20" s="27"/>
      <c r="C20" s="28">
        <v>0</v>
      </c>
      <c r="D20" s="28">
        <v>0.6</v>
      </c>
      <c r="E20" s="16">
        <f>IF(D20=0,0,C20/(D20*1000))</f>
        <v>0</v>
      </c>
      <c r="F20" s="15">
        <f>E20/$E$32*($G$31-$G$7)</f>
        <v>0</v>
      </c>
      <c r="G20" s="23"/>
      <c r="H20" s="21"/>
      <c r="I20" s="29">
        <v>3</v>
      </c>
      <c r="J20" s="15">
        <f>IF(I20=0,0,((C20/1000)/(I20*0.000001))/1000)</f>
        <v>0</v>
      </c>
      <c r="K20" s="16">
        <f>(J20/$J$32)*($L$31-$L$7)</f>
        <v>0</v>
      </c>
      <c r="L20" s="25"/>
      <c r="M20" s="26"/>
      <c r="N20" s="42"/>
    </row>
    <row r="21" spans="1:14" ht="15">
      <c r="A21" s="2" t="s">
        <v>45</v>
      </c>
      <c r="B21" s="22"/>
      <c r="C21" s="21"/>
      <c r="D21" s="21"/>
      <c r="E21" s="21"/>
      <c r="F21" s="23"/>
      <c r="G21" s="15">
        <f>G19+F20</f>
        <v>18.928530259365992</v>
      </c>
      <c r="H21" s="16">
        <f>EXP(IF(G21&gt;0,S$2,R$2)-IF(G21&gt;0,S$3,R$3)/(273.16+G21))</f>
        <v>16.16844496774006</v>
      </c>
      <c r="I21" s="23"/>
      <c r="J21" s="21"/>
      <c r="K21" s="25"/>
      <c r="L21" s="16">
        <f>L19+K20</f>
        <v>5.872339088229313</v>
      </c>
      <c r="M21" s="30">
        <f>(L21/H21)*100</f>
        <v>36.31975183727342</v>
      </c>
      <c r="N21" s="41" t="str">
        <f>IF((L21/H21)*100&gt;100,"Kondens!"," ")</f>
        <v> </v>
      </c>
    </row>
    <row r="22" spans="1:14" ht="12">
      <c r="A22" s="2" t="s">
        <v>46</v>
      </c>
      <c r="B22" s="27"/>
      <c r="C22" s="28">
        <v>0</v>
      </c>
      <c r="D22" s="28">
        <v>0.6</v>
      </c>
      <c r="E22" s="16">
        <f>IF(D22=0,0,C22/(D22*1000))</f>
        <v>0</v>
      </c>
      <c r="F22" s="15">
        <f>E22/$E$32*($G$31-$G$7)</f>
        <v>0</v>
      </c>
      <c r="G22" s="23"/>
      <c r="H22" s="21"/>
      <c r="I22" s="29">
        <v>3</v>
      </c>
      <c r="J22" s="15">
        <f>IF(I22=0,0,((C22/1000)/(I22*0.000001))/1000)</f>
        <v>0</v>
      </c>
      <c r="K22" s="16">
        <f>(J22/$J$32)*($L$31-$L$7)</f>
        <v>0</v>
      </c>
      <c r="L22" s="25"/>
      <c r="M22" s="26"/>
      <c r="N22" s="42"/>
    </row>
    <row r="23" spans="2:14" ht="15">
      <c r="B23" s="22"/>
      <c r="C23" s="21"/>
      <c r="D23" s="21"/>
      <c r="E23" s="21"/>
      <c r="F23" s="23"/>
      <c r="G23" s="15">
        <f>G21+F22</f>
        <v>18.928530259365992</v>
      </c>
      <c r="H23" s="16">
        <f>EXP(IF(G23&gt;0,S$2,R$2)-IF(G23&gt;0,S$3,R$3)/(273.16+G23))</f>
        <v>16.16844496774006</v>
      </c>
      <c r="I23" s="23"/>
      <c r="J23" s="21"/>
      <c r="K23" s="25"/>
      <c r="L23" s="16">
        <f>L21+K22</f>
        <v>5.872339088229313</v>
      </c>
      <c r="M23" s="30">
        <f>(L23/H23)*100</f>
        <v>36.31975183727342</v>
      </c>
      <c r="N23" s="41" t="str">
        <f>IF((L23/H23)*100&gt;100,"Kondens!"," ")</f>
        <v> </v>
      </c>
    </row>
    <row r="24" spans="2:14" ht="12">
      <c r="B24" s="27"/>
      <c r="C24" s="28">
        <v>0</v>
      </c>
      <c r="D24" s="28">
        <v>0.6</v>
      </c>
      <c r="E24" s="16">
        <f>IF(D24=0,0,C24/(D24*1000))</f>
        <v>0</v>
      </c>
      <c r="F24" s="15">
        <f>E24/$E$32*($G$31-$G$7)</f>
        <v>0</v>
      </c>
      <c r="G24" s="23"/>
      <c r="H24" s="21"/>
      <c r="I24" s="29">
        <v>3</v>
      </c>
      <c r="J24" s="15">
        <f>IF(I24=0,0,((C24/1000)/(I24*0.000001))/1000)</f>
        <v>0</v>
      </c>
      <c r="K24" s="16">
        <f>(J24/$J$32)*($L$31-$L$7)</f>
        <v>0</v>
      </c>
      <c r="L24" s="25"/>
      <c r="M24" s="26"/>
      <c r="N24" s="42"/>
    </row>
    <row r="25" spans="2:14" ht="15">
      <c r="B25" s="22"/>
      <c r="C25" s="21"/>
      <c r="D25" s="21"/>
      <c r="E25" s="21"/>
      <c r="F25" s="23"/>
      <c r="G25" s="15">
        <f>G23+F24</f>
        <v>18.928530259365992</v>
      </c>
      <c r="H25" s="16">
        <f>EXP(IF(G25&gt;0,S$2,R$2)-IF(G25&gt;0,S$3,R$3)/(273.16+G25))</f>
        <v>16.16844496774006</v>
      </c>
      <c r="I25" s="23"/>
      <c r="J25" s="21"/>
      <c r="K25" s="25"/>
      <c r="L25" s="16">
        <f>L23+K24</f>
        <v>5.872339088229313</v>
      </c>
      <c r="M25" s="30">
        <f>(L25/H25)*100</f>
        <v>36.31975183727342</v>
      </c>
      <c r="N25" s="41" t="str">
        <f>IF((L25/H25)*100&gt;100,"Kondens!"," ")</f>
        <v> </v>
      </c>
    </row>
    <row r="26" spans="2:16" ht="12">
      <c r="B26" s="27"/>
      <c r="C26" s="28">
        <v>0</v>
      </c>
      <c r="D26" s="28">
        <v>0</v>
      </c>
      <c r="E26" s="16">
        <f>IF(D26=0,0,C26/(D26*1000))</f>
        <v>0</v>
      </c>
      <c r="F26" s="15">
        <f>E26/$E$32*($G$31-$G$7)</f>
        <v>0</v>
      </c>
      <c r="G26" s="23"/>
      <c r="H26" s="21"/>
      <c r="I26" s="29">
        <v>1</v>
      </c>
      <c r="J26" s="15">
        <f>IF(I26=0,0,((C26/1000)/(I26*0.000001))/1000)</f>
        <v>0</v>
      </c>
      <c r="K26" s="16">
        <f>(J26/$J$32)*($L$31-$L$7)</f>
        <v>0</v>
      </c>
      <c r="L26" s="25"/>
      <c r="M26" s="26"/>
      <c r="N26" s="42"/>
      <c r="P26" s="32"/>
    </row>
    <row r="27" spans="2:14" ht="15">
      <c r="B27" s="22"/>
      <c r="C27" s="21"/>
      <c r="D27" s="21"/>
      <c r="E27" s="21"/>
      <c r="F27" s="23"/>
      <c r="G27" s="15">
        <f>G25+F26</f>
        <v>18.928530259365992</v>
      </c>
      <c r="H27" s="16">
        <f>EXP(IF(G27&gt;0,S$2,R$2)-IF(G27&gt;0,S$3,R$3)/(273.16+G27))</f>
        <v>16.16844496774006</v>
      </c>
      <c r="I27" s="23"/>
      <c r="J27" s="21"/>
      <c r="K27" s="25"/>
      <c r="L27" s="16">
        <f>L25+K26</f>
        <v>5.872339088229313</v>
      </c>
      <c r="M27" s="30">
        <f>(L27/H27)*100</f>
        <v>36.31975183727342</v>
      </c>
      <c r="N27" s="41" t="str">
        <f>IF((L27/H27)*100&gt;100,"Kondens!"," ")</f>
        <v> </v>
      </c>
    </row>
    <row r="28" spans="2:14" ht="12">
      <c r="B28" s="27" t="s">
        <v>22</v>
      </c>
      <c r="C28" s="28">
        <v>0</v>
      </c>
      <c r="D28" s="28">
        <v>0</v>
      </c>
      <c r="E28" s="16">
        <f>IF(D28=0,0,C28/(D28*1000))</f>
        <v>0</v>
      </c>
      <c r="F28" s="15">
        <f>E28/$E$32*($G$31-$G$7)</f>
        <v>0</v>
      </c>
      <c r="G28" s="23"/>
      <c r="H28" s="23"/>
      <c r="I28" s="29">
        <v>0.0008</v>
      </c>
      <c r="J28" s="15">
        <f>IF(I28=0,0,((C28/1000)/(I28*0.000001))/1000)</f>
        <v>0</v>
      </c>
      <c r="K28" s="16">
        <f>(J28/$J$32)*($L$31-$L$7)</f>
        <v>0</v>
      </c>
      <c r="L28" s="25"/>
      <c r="M28" s="25"/>
      <c r="N28" s="44"/>
    </row>
    <row r="29" spans="2:14" ht="15">
      <c r="B29" s="22"/>
      <c r="C29" s="21"/>
      <c r="D29" s="21"/>
      <c r="E29" s="21"/>
      <c r="F29" s="23"/>
      <c r="G29" s="15">
        <f>G27+F28</f>
        <v>18.928530259365992</v>
      </c>
      <c r="H29" s="16">
        <f>EXP(IF(G29&gt;0,S$2,R$2)-IF(G29&gt;0,S$3,R$3)/(273.16+G29))</f>
        <v>16.16844496774006</v>
      </c>
      <c r="I29" s="23"/>
      <c r="J29" s="21"/>
      <c r="K29" s="25"/>
      <c r="L29" s="16">
        <f>L27+K28</f>
        <v>5.872339088229313</v>
      </c>
      <c r="M29" s="30">
        <f>(L29/H29)*100</f>
        <v>36.31975183727342</v>
      </c>
      <c r="N29" s="41" t="str">
        <f>IF((L29/H29)*100&gt;100,"Kondens!"," ")</f>
        <v> </v>
      </c>
    </row>
    <row r="30" spans="2:16" ht="12">
      <c r="B30" s="19" t="s">
        <v>4</v>
      </c>
      <c r="C30" s="21"/>
      <c r="D30" s="21"/>
      <c r="E30" s="16">
        <v>0.13</v>
      </c>
      <c r="F30" s="15">
        <f>E30/$E$32*($G$31-$G$7)</f>
        <v>1.0714697406340055</v>
      </c>
      <c r="G30" s="23"/>
      <c r="H30" s="21"/>
      <c r="I30" s="24"/>
      <c r="J30" s="48">
        <v>0.36</v>
      </c>
      <c r="K30" s="16">
        <f>(J30/$J$32)*($L$31-$L$7)</f>
        <v>0.010281990683989347</v>
      </c>
      <c r="L30" s="25"/>
      <c r="M30" s="25"/>
      <c r="N30" s="42"/>
      <c r="P30" s="38"/>
    </row>
    <row r="31" spans="2:14" ht="15">
      <c r="B31" s="21" t="s">
        <v>43</v>
      </c>
      <c r="C31" s="21"/>
      <c r="D31" s="21"/>
      <c r="E31" s="21"/>
      <c r="F31" s="21"/>
      <c r="G31" s="15">
        <f>$K$4</f>
        <v>20</v>
      </c>
      <c r="H31" s="16">
        <f>EXP(IF(G31&gt;0,S$2,R$2)-IF(G31&gt;0,S$3,R$3)/(273.16+G31))</f>
        <v>17.22548003150791</v>
      </c>
      <c r="I31" s="24"/>
      <c r="J31" s="21"/>
      <c r="K31" s="21"/>
      <c r="L31" s="16">
        <f>$N$4</f>
        <v>5.884334744027301</v>
      </c>
      <c r="M31" s="30">
        <f>$L$4</f>
        <v>34</v>
      </c>
      <c r="N31" s="45"/>
    </row>
    <row r="32" spans="2:16" ht="12">
      <c r="B32" s="11" t="s">
        <v>2</v>
      </c>
      <c r="C32" s="18">
        <f>SUM(C10:C28)</f>
        <v>580</v>
      </c>
      <c r="D32" s="11" t="s">
        <v>2</v>
      </c>
      <c r="E32" s="16">
        <f>SUM(E8:E30)</f>
        <v>3.4700000000000006</v>
      </c>
      <c r="F32" s="15">
        <f>SUM(F8:F30)</f>
        <v>28.6</v>
      </c>
      <c r="G32" s="12"/>
      <c r="H32" s="12"/>
      <c r="I32" s="11" t="s">
        <v>2</v>
      </c>
      <c r="J32" s="18">
        <f>SUM(J8:J30)</f>
        <v>125.5097435897436</v>
      </c>
      <c r="K32" s="16">
        <f>SUM(K8:K30)</f>
        <v>3.5846944842767647</v>
      </c>
      <c r="L32" s="13"/>
      <c r="M32" s="13"/>
      <c r="N32" s="46" t="s">
        <v>36</v>
      </c>
      <c r="P32" s="36"/>
    </row>
    <row r="33" spans="14:15" ht="12">
      <c r="N33" s="2" t="s">
        <v>1</v>
      </c>
      <c r="O33" s="14"/>
    </row>
    <row r="35" ht="12">
      <c r="Q35" s="2" t="s">
        <v>27</v>
      </c>
    </row>
    <row r="36" spans="17:22" ht="15">
      <c r="Q36" s="33" t="s">
        <v>23</v>
      </c>
      <c r="R36" s="33" t="s">
        <v>24</v>
      </c>
      <c r="S36" s="33" t="s">
        <v>25</v>
      </c>
      <c r="T36" s="33" t="s">
        <v>26</v>
      </c>
      <c r="V36" s="2" t="s">
        <v>33</v>
      </c>
    </row>
    <row r="37" spans="17:23" ht="12">
      <c r="Q37" s="2">
        <v>-20</v>
      </c>
      <c r="R37" s="35">
        <f>G7</f>
        <v>-8.6</v>
      </c>
      <c r="S37" s="35">
        <f>L7</f>
        <v>2.2996402597505363</v>
      </c>
      <c r="T37" s="35">
        <f>M7</f>
        <v>98</v>
      </c>
      <c r="V37" s="2">
        <v>0</v>
      </c>
      <c r="W37" s="2">
        <v>0.01</v>
      </c>
    </row>
    <row r="38" spans="17:23" ht="12">
      <c r="Q38" s="2">
        <v>0</v>
      </c>
      <c r="R38" s="35">
        <f>G9</f>
        <v>-8.270317002881844</v>
      </c>
      <c r="S38" s="35">
        <f>L9</f>
        <v>2.2996402597505363</v>
      </c>
      <c r="T38" s="35">
        <f>M9</f>
        <v>92.63264954275553</v>
      </c>
      <c r="V38" s="2">
        <v>-20</v>
      </c>
      <c r="W38" s="2">
        <v>100</v>
      </c>
    </row>
    <row r="39" spans="17:23" ht="12">
      <c r="Q39" s="2">
        <f>Q38+C10</f>
        <v>120</v>
      </c>
      <c r="R39" s="35">
        <f>G11</f>
        <v>-6.621902017291067</v>
      </c>
      <c r="S39" s="35">
        <f>L11</f>
        <v>2.326004338427432</v>
      </c>
      <c r="T39" s="35">
        <f>M11</f>
        <v>81.6909958114829</v>
      </c>
      <c r="V39" s="2">
        <f aca="true" t="shared" si="0" ref="V39:V44">Q39</f>
        <v>120</v>
      </c>
      <c r="W39" s="2">
        <f aca="true" t="shared" si="1" ref="W39:W44">V39+0.01</f>
        <v>120.01</v>
      </c>
    </row>
    <row r="40" spans="17:23" ht="12">
      <c r="Q40" s="34">
        <f>Q39+C12</f>
        <v>220</v>
      </c>
      <c r="R40" s="35">
        <f>G13</f>
        <v>13.983285302593657</v>
      </c>
      <c r="S40" s="35">
        <f>L13</f>
        <v>2.445008860232864</v>
      </c>
      <c r="T40" s="35">
        <f>M13</f>
        <v>20.380239630301162</v>
      </c>
      <c r="V40" s="2">
        <f t="shared" si="0"/>
        <v>220</v>
      </c>
      <c r="W40" s="2">
        <f t="shared" si="1"/>
        <v>220.01</v>
      </c>
    </row>
    <row r="41" spans="17:23" ht="12">
      <c r="Q41" s="34">
        <f>Q40+C14</f>
        <v>340</v>
      </c>
      <c r="R41" s="35">
        <f>G15</f>
        <v>15.631700288184435</v>
      </c>
      <c r="S41" s="35">
        <f>L15</f>
        <v>3.5874522695650137</v>
      </c>
      <c r="T41" s="35">
        <f>M15</f>
        <v>27.041002529396195</v>
      </c>
      <c r="V41" s="2">
        <f t="shared" si="0"/>
        <v>340</v>
      </c>
      <c r="W41" s="2">
        <f t="shared" si="1"/>
        <v>340.01</v>
      </c>
    </row>
    <row r="42" spans="17:23" ht="12">
      <c r="Q42" s="34">
        <f>Q41+C16</f>
        <v>460</v>
      </c>
      <c r="R42" s="35">
        <f>G17</f>
        <v>17.280115273775213</v>
      </c>
      <c r="S42" s="35">
        <f>L17</f>
        <v>4.729895678897163</v>
      </c>
      <c r="T42" s="35">
        <f>M17</f>
        <v>32.276912467970945</v>
      </c>
      <c r="V42" s="2">
        <f t="shared" si="0"/>
        <v>460</v>
      </c>
      <c r="W42" s="2">
        <f t="shared" si="1"/>
        <v>460.01</v>
      </c>
    </row>
    <row r="43" spans="17:23" ht="12">
      <c r="Q43" s="34">
        <f>Q42+C18</f>
        <v>580</v>
      </c>
      <c r="R43" s="35">
        <f>G19</f>
        <v>18.928530259365992</v>
      </c>
      <c r="S43" s="35">
        <f>L19</f>
        <v>5.872339088229313</v>
      </c>
      <c r="T43" s="35">
        <f>M19</f>
        <v>36.31975183727342</v>
      </c>
      <c r="V43" s="2">
        <f t="shared" si="0"/>
        <v>580</v>
      </c>
      <c r="W43" s="2">
        <f t="shared" si="1"/>
        <v>580.01</v>
      </c>
    </row>
    <row r="44" spans="17:23" ht="12">
      <c r="Q44" s="34">
        <f>Q43+C20</f>
        <v>580</v>
      </c>
      <c r="R44" s="35">
        <f>G21</f>
        <v>18.928530259365992</v>
      </c>
      <c r="S44" s="35">
        <f>L21</f>
        <v>5.872339088229313</v>
      </c>
      <c r="T44" s="35">
        <f>M21</f>
        <v>36.31975183727342</v>
      </c>
      <c r="V44" s="2">
        <f t="shared" si="0"/>
        <v>580</v>
      </c>
      <c r="W44" s="2">
        <f t="shared" si="1"/>
        <v>580.01</v>
      </c>
    </row>
    <row r="45" spans="17:20" ht="12">
      <c r="Q45" s="2">
        <f>Q44+C22</f>
        <v>580</v>
      </c>
      <c r="R45" s="35">
        <f>G23</f>
        <v>18.928530259365992</v>
      </c>
      <c r="S45" s="35">
        <f>L23</f>
        <v>5.872339088229313</v>
      </c>
      <c r="T45" s="35">
        <f>M23</f>
        <v>36.31975183727342</v>
      </c>
    </row>
    <row r="46" spans="17:20" ht="12">
      <c r="Q46" s="2">
        <f>Q45+C24</f>
        <v>580</v>
      </c>
      <c r="R46" s="35">
        <f>G25</f>
        <v>18.928530259365992</v>
      </c>
      <c r="S46" s="35">
        <f>L25</f>
        <v>5.872339088229313</v>
      </c>
      <c r="T46" s="35">
        <f>M25</f>
        <v>36.31975183727342</v>
      </c>
    </row>
    <row r="47" spans="17:20" ht="12">
      <c r="Q47" s="2">
        <f>Q46+C26</f>
        <v>580</v>
      </c>
      <c r="R47" s="35">
        <f>G27</f>
        <v>18.928530259365992</v>
      </c>
      <c r="S47" s="35">
        <f>L27</f>
        <v>5.872339088229313</v>
      </c>
      <c r="T47" s="35">
        <f>M27</f>
        <v>36.31975183727342</v>
      </c>
    </row>
    <row r="48" spans="17:20" ht="12">
      <c r="Q48" s="2">
        <f>Q47+C28</f>
        <v>580</v>
      </c>
      <c r="R48" s="35">
        <f>G29</f>
        <v>18.928530259365992</v>
      </c>
      <c r="S48" s="35">
        <f>L29</f>
        <v>5.872339088229313</v>
      </c>
      <c r="T48" s="35">
        <f>M29</f>
        <v>36.31975183727342</v>
      </c>
    </row>
    <row r="49" spans="17:20" ht="12">
      <c r="Q49" s="2">
        <f>Q48+20</f>
        <v>600</v>
      </c>
      <c r="R49" s="35">
        <f>G31</f>
        <v>20</v>
      </c>
      <c r="S49" s="35">
        <f>L31</f>
        <v>5.884334744027301</v>
      </c>
      <c r="T49" s="35">
        <f>M31</f>
        <v>34</v>
      </c>
    </row>
  </sheetData>
  <sheetProtection/>
  <hyperlinks>
    <hyperlink ref="F2" r:id="rId1" display="www.moistenginst.se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Skanska Teknik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Bengtsson</dc:creator>
  <cp:keywords/>
  <dc:description/>
  <cp:lastModifiedBy>Stefan Backe</cp:lastModifiedBy>
  <cp:lastPrinted>2003-05-15T09:36:14Z</cp:lastPrinted>
  <dcterms:created xsi:type="dcterms:W3CDTF">1999-03-04T09:22:22Z</dcterms:created>
  <dcterms:modified xsi:type="dcterms:W3CDTF">2012-11-25T19:12:50Z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